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showHorizontalScroll="0" showVerticalScroll="0" xWindow="2445" yWindow="45" windowWidth="15195" windowHeight="8700" activeTab="0"/>
  </bookViews>
  <sheets>
    <sheet name="расчет сис при тушении водой" sheetId="1" r:id="rId1"/>
    <sheet name="Перекачка" sheetId="2" r:id="rId2"/>
    <sheet name="подвоз воды" sheetId="3" r:id="rId3"/>
    <sheet name="время работы от водоема" sheetId="4" r:id="rId4"/>
    <sheet name="Расчёт пены" sheetId="5" r:id="rId5"/>
  </sheets>
  <definedNames/>
  <calcPr fullCalcOnLoad="1"/>
</workbook>
</file>

<file path=xl/comments1.xml><?xml version="1.0" encoding="utf-8"?>
<comments xmlns="http://schemas.openxmlformats.org/spreadsheetml/2006/main">
  <authors>
    <author>Матвей</author>
    <author>Юрий Геннадьевич</author>
  </authors>
  <commentList>
    <comment ref="H5" authorId="0">
      <text>
        <r>
          <rPr>
            <b/>
            <sz val="8"/>
            <rFont val="Tahoma"/>
            <family val="0"/>
          </rPr>
          <t>Выбрать типы стволов  из открывающегося списка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Выбрать интенсивность из открывающегося списка
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Выбрать тип стволов из открывающего списка
</t>
        </r>
      </text>
    </comment>
  </commentList>
</comments>
</file>

<file path=xl/comments2.xml><?xml version="1.0" encoding="utf-8"?>
<comments xmlns="http://schemas.openxmlformats.org/spreadsheetml/2006/main">
  <authors>
    <author>Матвей</author>
  </authors>
  <commentList>
    <comment ref="E7" authorId="0">
      <text>
        <r>
          <rPr>
            <b/>
            <sz val="8"/>
            <rFont val="Tahoma"/>
            <family val="0"/>
          </rPr>
          <t xml:space="preserve">Выбрать способ перекачки из открывающегося списка
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Выбрать схему боевого развертывания из открывающегося списка</t>
        </r>
      </text>
    </comment>
  </commentList>
</comments>
</file>

<file path=xl/comments3.xml><?xml version="1.0" encoding="utf-8"?>
<comments xmlns="http://schemas.openxmlformats.org/spreadsheetml/2006/main">
  <authors>
    <author>Матвей</author>
  </authors>
  <commentList>
    <comment ref="E8" authorId="0">
      <text>
        <r>
          <rPr>
            <b/>
            <sz val="8"/>
            <rFont val="Tahoma"/>
            <family val="0"/>
          </rPr>
          <t>выбрать тип местности из раскрывающегося списка</t>
        </r>
      </text>
    </comment>
  </commentList>
</comments>
</file>

<file path=xl/comments4.xml><?xml version="1.0" encoding="utf-8"?>
<comments xmlns="http://schemas.openxmlformats.org/spreadsheetml/2006/main">
  <authors>
    <author>Диспетчер ПЧ</author>
  </authors>
  <commentList>
    <comment ref="D7" authorId="0">
      <text>
        <r>
          <rPr>
            <sz val="10"/>
            <rFont val="Tahoma"/>
            <family val="2"/>
          </rPr>
          <t>Для расчётов взяты значения расхода стволов 3,7 л/с для ствола "Б" и 7,4 л/с для ствола "А". Поэтому получившееся значение может отличаться от практически получаемого.</t>
        </r>
      </text>
    </comment>
  </commentList>
</comments>
</file>

<file path=xl/comments5.xml><?xml version="1.0" encoding="utf-8"?>
<comments xmlns="http://schemas.openxmlformats.org/spreadsheetml/2006/main">
  <authors>
    <author>Диспетчер ПЧ</author>
  </authors>
  <commentList>
    <comment ref="A1" authorId="0">
      <text>
        <r>
          <rPr>
            <b/>
            <sz val="14"/>
            <rFont val="Tahoma"/>
            <family val="2"/>
          </rPr>
          <t>Ан.Ю.Ползунов:</t>
        </r>
        <r>
          <rPr>
            <sz val="14"/>
            <rFont val="Tahoma"/>
            <family val="2"/>
          </rPr>
          <t xml:space="preserve">
Формулы расчётов взяты из "Справочника РТП" Теребнев В.В. 2004 г.
В реальных условия значения могут варироваться.</t>
        </r>
      </text>
    </comment>
  </commentList>
</comments>
</file>

<file path=xl/sharedStrings.xml><?xml version="1.0" encoding="utf-8"?>
<sst xmlns="http://schemas.openxmlformats.org/spreadsheetml/2006/main" count="130" uniqueCount="85">
  <si>
    <t>Емкость цистерны с водой</t>
  </si>
  <si>
    <t>Емкость бака с ПО</t>
  </si>
  <si>
    <t>АЦ-40(131)</t>
  </si>
  <si>
    <t>АЦ-40(130)</t>
  </si>
  <si>
    <t>Количество раствора</t>
  </si>
  <si>
    <t>Число рукавов "А" в линии</t>
  </si>
  <si>
    <t>ГПС-600</t>
  </si>
  <si>
    <t>Число рукавов "Б" в линии</t>
  </si>
  <si>
    <t>СВП-4</t>
  </si>
  <si>
    <t>Тип стволов</t>
  </si>
  <si>
    <t>Количество стволов</t>
  </si>
  <si>
    <t>Время работы пенных стволов =</t>
  </si>
  <si>
    <t>минут</t>
  </si>
  <si>
    <t>Тип горящей жидкости</t>
  </si>
  <si>
    <t>ЛВЖ</t>
  </si>
  <si>
    <t>Возможная площадь тушения</t>
  </si>
  <si>
    <t>ГЖ</t>
  </si>
  <si>
    <t>Кф</t>
  </si>
  <si>
    <t>Объем ВМП</t>
  </si>
  <si>
    <t>Коэффициент запаса пены</t>
  </si>
  <si>
    <t>Объем тушения ВМП (локализация)</t>
  </si>
  <si>
    <t>кв. м</t>
  </si>
  <si>
    <t>куб. м</t>
  </si>
  <si>
    <t>л</t>
  </si>
  <si>
    <t>шт</t>
  </si>
  <si>
    <t>Расчёт пенообразователя</t>
  </si>
  <si>
    <t>тип</t>
  </si>
  <si>
    <t>коэфф</t>
  </si>
  <si>
    <t xml:space="preserve">Расстояние от места пожара до водоисточника </t>
  </si>
  <si>
    <t>км</t>
  </si>
  <si>
    <t xml:space="preserve">Число стволов "Б" , работающих от ПА на месте пожара </t>
  </si>
  <si>
    <t>Число водяных стволов "А", работающих от  ПА на месте пожара</t>
  </si>
  <si>
    <t>Подвоз воды к месту пожара автоцистернами</t>
  </si>
  <si>
    <t xml:space="preserve">Время заправки АЦ водой </t>
  </si>
  <si>
    <t xml:space="preserve">Время следования от места пожара до водоисточника </t>
  </si>
  <si>
    <t>Наибольший объем емкости цистерны с водой совершающих подвоз</t>
  </si>
  <si>
    <t>Количество АЦ для подвоза воды</t>
  </si>
  <si>
    <t>мин</t>
  </si>
  <si>
    <t>л/сек</t>
  </si>
  <si>
    <t>Емкость (суммарная емкость) цистерны с водой АЦ , работающей(их) на месте пожара</t>
  </si>
  <si>
    <t xml:space="preserve">Время расхода воды из АЦ , работающих на месте пожара </t>
  </si>
  <si>
    <t>Скорость движения ПА от места пожара до водоема</t>
  </si>
  <si>
    <t>км/ч</t>
  </si>
  <si>
    <t xml:space="preserve">Высота подъема местности </t>
  </si>
  <si>
    <t xml:space="preserve">Высота подъема стволов </t>
  </si>
  <si>
    <t>м</t>
  </si>
  <si>
    <t>Схема боевого развертывания</t>
  </si>
  <si>
    <t>1Б</t>
  </si>
  <si>
    <t>1А</t>
  </si>
  <si>
    <t>2Б</t>
  </si>
  <si>
    <t>3Б</t>
  </si>
  <si>
    <t>1А 1Б</t>
  </si>
  <si>
    <t>1А 2Б</t>
  </si>
  <si>
    <t>Максимальное расстояние между машинами работающими в перекачку</t>
  </si>
  <si>
    <t>из емкости в емкость</t>
  </si>
  <si>
    <t>из насоса в насос</t>
  </si>
  <si>
    <t>Перекачка осуществляется</t>
  </si>
  <si>
    <t>способ</t>
  </si>
  <si>
    <t xml:space="preserve">Количество машин , участвующих в перекачке </t>
  </si>
  <si>
    <t>Предельное расстояние от головного ПА до места пожара</t>
  </si>
  <si>
    <t>Время работы водяных стволов от пожарных автомобилей от  водоема</t>
  </si>
  <si>
    <t>Суммарное число стволов "Б" , работающих от данного водоема</t>
  </si>
  <si>
    <t>Суммарное число  стволов "А", работающих от данного водоема</t>
  </si>
  <si>
    <t>л.</t>
  </si>
  <si>
    <t>Суммарное число рукавов в рабочих линиях</t>
  </si>
  <si>
    <t>Суммарное число рукавов в магистральных линиях</t>
  </si>
  <si>
    <t>Объем воды в водоеме</t>
  </si>
  <si>
    <t xml:space="preserve">Площадь пожара (тушения) </t>
  </si>
  <si>
    <t xml:space="preserve">Тип стволов , используемых для тушении  </t>
  </si>
  <si>
    <t xml:space="preserve">Тип стволов , используемых для защиты  </t>
  </si>
  <si>
    <t>Б</t>
  </si>
  <si>
    <t>А</t>
  </si>
  <si>
    <t>Лафет</t>
  </si>
  <si>
    <t>Количество стволов на защиту</t>
  </si>
  <si>
    <t>Количество стволов на тушение</t>
  </si>
  <si>
    <t>Подача воды к месту пожара в перекачку</t>
  </si>
  <si>
    <t>Расчет сил и средств для тушения пожара водой</t>
  </si>
  <si>
    <t>Интенсивность подачи огнетушащих средств</t>
  </si>
  <si>
    <t>л*сек/кв.м.</t>
  </si>
  <si>
    <t xml:space="preserve">Площадь защиты  </t>
  </si>
  <si>
    <t>Фактический расход воды на тушение пожара</t>
  </si>
  <si>
    <t>Фактический расход воды на защиту</t>
  </si>
  <si>
    <t>Cуммарный расход на тушение и защиту</t>
  </si>
  <si>
    <t>Количество АЦ для подачи воды</t>
  </si>
  <si>
    <t>Производительность насоса , которым заправляют АЦ или колонки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</si>
</sst>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31">
    <font>
      <sz val="10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b/>
      <sz val="18"/>
      <color indexed="10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63"/>
      <name val="Arial Cyr"/>
      <family val="0"/>
    </font>
    <font>
      <i/>
      <sz val="24"/>
      <name val="Arial Cyr"/>
      <family val="0"/>
    </font>
    <font>
      <b/>
      <sz val="18"/>
      <color indexed="22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0"/>
    </font>
    <font>
      <sz val="12"/>
      <color indexed="8"/>
      <name val="Arial Cyr"/>
      <family val="0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i/>
      <sz val="14"/>
      <color indexed="9"/>
      <name val="Arial Cyr"/>
      <family val="0"/>
    </font>
    <font>
      <sz val="16"/>
      <color indexed="10"/>
      <name val="Arial Cyr"/>
      <family val="0"/>
    </font>
    <font>
      <b/>
      <sz val="14"/>
      <color indexed="9"/>
      <name val="Arial Cyr"/>
      <family val="0"/>
    </font>
    <font>
      <sz val="14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9" xfId="0" applyFont="1" applyFill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3" borderId="1" xfId="0" applyFont="1" applyFill="1" applyBorder="1" applyAlignment="1">
      <alignment/>
    </xf>
    <xf numFmtId="2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3" borderId="26" xfId="0" applyFont="1" applyFill="1" applyBorder="1" applyAlignment="1" applyProtection="1">
      <alignment horizontal="left" vertical="center" wrapText="1"/>
      <protection hidden="1"/>
    </xf>
    <xf numFmtId="0" fontId="21" fillId="3" borderId="9" xfId="0" applyFont="1" applyFill="1" applyBorder="1" applyAlignment="1" applyProtection="1">
      <alignment horizontal="left" vertical="center" wrapText="1"/>
      <protection hidden="1"/>
    </xf>
    <xf numFmtId="0" fontId="21" fillId="3" borderId="9" xfId="0" applyFont="1" applyFill="1" applyBorder="1" applyAlignment="1" applyProtection="1">
      <alignment horizontal="left" vertical="center"/>
      <protection hidden="1"/>
    </xf>
    <xf numFmtId="0" fontId="21" fillId="0" borderId="27" xfId="0" applyFont="1" applyFill="1" applyBorder="1" applyAlignment="1" applyProtection="1">
      <alignment horizontal="left" vertical="center"/>
      <protection hidden="1"/>
    </xf>
    <xf numFmtId="0" fontId="23" fillId="3" borderId="28" xfId="0" applyFont="1" applyFill="1" applyBorder="1" applyAlignment="1" applyProtection="1">
      <alignment horizontal="center" vertical="center"/>
      <protection hidden="1"/>
    </xf>
    <xf numFmtId="0" fontId="23" fillId="3" borderId="29" xfId="0" applyFont="1" applyFill="1" applyBorder="1" applyAlignment="1" applyProtection="1">
      <alignment horizontal="center" vertical="center"/>
      <protection hidden="1"/>
    </xf>
    <xf numFmtId="0" fontId="22" fillId="3" borderId="29" xfId="0" applyFont="1" applyFill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0" fontId="19" fillId="5" borderId="21" xfId="0" applyFont="1" applyFill="1" applyBorder="1" applyAlignment="1" applyProtection="1">
      <alignment horizontal="left" vertical="center"/>
      <protection hidden="1"/>
    </xf>
    <xf numFmtId="0" fontId="19" fillId="5" borderId="21" xfId="0" applyFont="1" applyFill="1" applyBorder="1" applyAlignment="1" applyProtection="1">
      <alignment horizontal="left" vertical="center" wrapText="1"/>
      <protection hidden="1"/>
    </xf>
    <xf numFmtId="0" fontId="19" fillId="5" borderId="30" xfId="0" applyFont="1" applyFill="1" applyBorder="1" applyAlignment="1" applyProtection="1">
      <alignment horizontal="left" vertical="center"/>
      <protection hidden="1"/>
    </xf>
    <xf numFmtId="1" fontId="19" fillId="5" borderId="29" xfId="0" applyNumberFormat="1" applyFont="1" applyFill="1" applyBorder="1" applyAlignment="1" applyProtection="1">
      <alignment horizontal="center" vertical="center"/>
      <protection hidden="1"/>
    </xf>
    <xf numFmtId="1" fontId="19" fillId="5" borderId="21" xfId="0" applyNumberFormat="1" applyFont="1" applyFill="1" applyBorder="1" applyAlignment="1" applyProtection="1">
      <alignment horizontal="center" vertical="center"/>
      <protection hidden="1"/>
    </xf>
    <xf numFmtId="0" fontId="19" fillId="5" borderId="21" xfId="0" applyFont="1" applyFill="1" applyBorder="1" applyAlignment="1" applyProtection="1">
      <alignment horizontal="center" vertical="center"/>
      <protection hidden="1"/>
    </xf>
    <xf numFmtId="0" fontId="19" fillId="5" borderId="29" xfId="0" applyFont="1" applyFill="1" applyBorder="1" applyAlignment="1" applyProtection="1">
      <alignment horizontal="center" vertical="center"/>
      <protection hidden="1"/>
    </xf>
    <xf numFmtId="0" fontId="24" fillId="4" borderId="29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8" fillId="0" borderId="30" xfId="0" applyFont="1" applyFill="1" applyBorder="1" applyAlignment="1" applyProtection="1">
      <alignment horizontal="left" vertical="center"/>
      <protection hidden="1"/>
    </xf>
    <xf numFmtId="2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7" fillId="5" borderId="21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24" fillId="6" borderId="0" xfId="0" applyFont="1" applyFill="1" applyAlignment="1">
      <alignment/>
    </xf>
    <xf numFmtId="0" fontId="24" fillId="7" borderId="0" xfId="0" applyFont="1" applyFill="1" applyAlignment="1">
      <alignment/>
    </xf>
    <xf numFmtId="0" fontId="24" fillId="8" borderId="0" xfId="0" applyFont="1" applyFill="1" applyAlignment="1">
      <alignment/>
    </xf>
    <xf numFmtId="0" fontId="24" fillId="9" borderId="0" xfId="0" applyFont="1" applyFill="1" applyAlignment="1">
      <alignment/>
    </xf>
    <xf numFmtId="0" fontId="12" fillId="10" borderId="27" xfId="0" applyFont="1" applyFill="1" applyBorder="1" applyAlignment="1" applyProtection="1">
      <alignment horizontal="center" vertical="center" wrapText="1"/>
      <protection hidden="1"/>
    </xf>
    <xf numFmtId="0" fontId="12" fillId="10" borderId="31" xfId="0" applyFont="1" applyFill="1" applyBorder="1" applyAlignment="1" applyProtection="1">
      <alignment horizontal="center" vertical="center" wrapText="1"/>
      <protection hidden="1"/>
    </xf>
    <xf numFmtId="0" fontId="12" fillId="10" borderId="29" xfId="0" applyFont="1" applyFill="1" applyBorder="1" applyAlignment="1" applyProtection="1">
      <alignment horizontal="center" vertical="center" wrapText="1"/>
      <protection hidden="1"/>
    </xf>
    <xf numFmtId="0" fontId="12" fillId="10" borderId="32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1" fontId="3" fillId="5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>
      <alignment horizontal="left" vertical="center"/>
    </xf>
    <xf numFmtId="0" fontId="21" fillId="3" borderId="12" xfId="0" applyFont="1" applyFill="1" applyBorder="1" applyAlignment="1" applyProtection="1">
      <alignment horizontal="left" vertical="center" wrapText="1"/>
      <protection hidden="1"/>
    </xf>
    <xf numFmtId="0" fontId="21" fillId="3" borderId="36" xfId="0" applyFont="1" applyFill="1" applyBorder="1" applyAlignment="1" applyProtection="1">
      <alignment horizontal="left" vertical="center"/>
      <protection hidden="1"/>
    </xf>
    <xf numFmtId="0" fontId="21" fillId="3" borderId="27" xfId="0" applyFont="1" applyFill="1" applyBorder="1" applyAlignment="1" applyProtection="1">
      <alignment horizontal="left" vertical="center"/>
      <protection hidden="1"/>
    </xf>
    <xf numFmtId="0" fontId="23" fillId="3" borderId="37" xfId="0" applyFont="1" applyFill="1" applyBorder="1" applyAlignment="1" applyProtection="1">
      <alignment horizontal="center" vertical="center"/>
      <protection hidden="1"/>
    </xf>
    <xf numFmtId="0" fontId="22" fillId="3" borderId="38" xfId="0" applyFont="1" applyFill="1" applyBorder="1" applyAlignment="1" applyProtection="1">
      <alignment horizontal="center" vertical="center"/>
      <protection hidden="1"/>
    </xf>
    <xf numFmtId="2" fontId="19" fillId="5" borderId="21" xfId="0" applyNumberFormat="1" applyFont="1" applyFill="1" applyBorder="1" applyAlignment="1" applyProtection="1">
      <alignment horizontal="center" vertical="center"/>
      <protection hidden="1"/>
    </xf>
    <xf numFmtId="2" fontId="19" fillId="5" borderId="29" xfId="0" applyNumberFormat="1" applyFont="1" applyFill="1" applyBorder="1" applyAlignment="1" applyProtection="1">
      <alignment horizontal="center" vertical="center"/>
      <protection hidden="1"/>
    </xf>
    <xf numFmtId="2" fontId="19" fillId="5" borderId="37" xfId="0" applyNumberFormat="1" applyFont="1" applyFill="1" applyBorder="1" applyAlignment="1" applyProtection="1">
      <alignment horizontal="center" vertical="center"/>
      <protection hidden="1"/>
    </xf>
    <xf numFmtId="0" fontId="19" fillId="5" borderId="37" xfId="0" applyFont="1" applyFill="1" applyBorder="1" applyAlignment="1" applyProtection="1">
      <alignment horizontal="center" vertical="center"/>
      <protection hidden="1"/>
    </xf>
    <xf numFmtId="0" fontId="26" fillId="0" borderId="39" xfId="0" applyFont="1" applyFill="1" applyBorder="1" applyAlignment="1" applyProtection="1">
      <alignment horizontal="left" vertical="center"/>
      <protection hidden="1"/>
    </xf>
    <xf numFmtId="167" fontId="26" fillId="0" borderId="21" xfId="0" applyNumberFormat="1" applyFont="1" applyFill="1" applyBorder="1" applyAlignment="1" applyProtection="1">
      <alignment horizontal="center" vertical="center"/>
      <protection hidden="1"/>
    </xf>
    <xf numFmtId="0" fontId="26" fillId="0" borderId="29" xfId="0" applyFont="1" applyFill="1" applyBorder="1" applyAlignment="1" applyProtection="1">
      <alignment horizontal="center" vertical="center"/>
      <protection hidden="1"/>
    </xf>
    <xf numFmtId="0" fontId="20" fillId="5" borderId="39" xfId="0" applyFont="1" applyFill="1" applyBorder="1" applyAlignment="1" applyProtection="1">
      <alignment horizontal="left" vertical="center"/>
      <protection hidden="1"/>
    </xf>
    <xf numFmtId="0" fontId="20" fillId="5" borderId="21" xfId="0" applyFont="1" applyFill="1" applyBorder="1" applyAlignment="1" applyProtection="1">
      <alignment horizontal="center"/>
      <protection hidden="1"/>
    </xf>
    <xf numFmtId="0" fontId="20" fillId="5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locked="0"/>
    </xf>
    <xf numFmtId="0" fontId="9" fillId="5" borderId="0" xfId="0" applyFont="1" applyFill="1" applyAlignment="1">
      <alignment/>
    </xf>
    <xf numFmtId="0" fontId="22" fillId="0" borderId="21" xfId="0" applyFont="1" applyBorder="1" applyAlignment="1" applyProtection="1">
      <alignment/>
      <protection hidden="1"/>
    </xf>
    <xf numFmtId="0" fontId="29" fillId="5" borderId="21" xfId="0" applyFont="1" applyFill="1" applyBorder="1" applyAlignment="1" applyProtection="1">
      <alignment/>
      <protection hidden="1"/>
    </xf>
    <xf numFmtId="0" fontId="29" fillId="5" borderId="21" xfId="0" applyFont="1" applyFill="1" applyBorder="1" applyAlignment="1" applyProtection="1">
      <alignment horizontal="center"/>
      <protection hidden="1"/>
    </xf>
    <xf numFmtId="0" fontId="29" fillId="5" borderId="39" xfId="0" applyFont="1" applyFill="1" applyBorder="1" applyAlignment="1" applyProtection="1">
      <alignment/>
      <protection hidden="1"/>
    </xf>
    <xf numFmtId="0" fontId="29" fillId="5" borderId="38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14</xdr:row>
      <xdr:rowOff>19050</xdr:rowOff>
    </xdr:from>
    <xdr:to>
      <xdr:col>3</xdr:col>
      <xdr:colOff>5724525</xdr:colOff>
      <xdr:row>19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562225" y="5057775"/>
          <a:ext cx="5219700" cy="1038225"/>
        </a:xfrm>
        <a:prstGeom prst="foldedCorner">
          <a:avLst>
            <a:gd name="adj" fmla="val 27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Желтые и белые строки не изменять!!!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Вводить или выбирать значения только в зеленых строках!!!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11</xdr:row>
      <xdr:rowOff>66675</xdr:rowOff>
    </xdr:from>
    <xdr:to>
      <xdr:col>2</xdr:col>
      <xdr:colOff>5724525</xdr:colOff>
      <xdr:row>17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876425" y="2543175"/>
          <a:ext cx="5219700" cy="1038225"/>
        </a:xfrm>
        <a:prstGeom prst="foldedCorner">
          <a:avLst>
            <a:gd name="adj" fmla="val 27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Желтые и белые строки не изменять!!!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Вводить или выбирать значения только в зеленых строках!!!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J147"/>
  <sheetViews>
    <sheetView showGridLines="0" tabSelected="1" workbookViewId="0" topLeftCell="D1">
      <selection activeCell="G17" sqref="G17"/>
    </sheetView>
  </sheetViews>
  <sheetFormatPr defaultColWidth="9.00390625" defaultRowHeight="12.75"/>
  <cols>
    <col min="7" max="7" width="59.00390625" style="0" customWidth="1"/>
    <col min="8" max="8" width="22.125" style="0" customWidth="1"/>
    <col min="9" max="9" width="15.875" style="0" customWidth="1"/>
  </cols>
  <sheetData>
    <row r="1" spans="7:9" ht="54" customHeight="1" thickBot="1">
      <c r="G1" s="83" t="s">
        <v>76</v>
      </c>
      <c r="H1" s="84"/>
      <c r="I1" s="85"/>
    </row>
    <row r="2" spans="7:9" ht="27.75" customHeight="1" thickBot="1">
      <c r="G2" s="53" t="s">
        <v>67</v>
      </c>
      <c r="H2" s="42">
        <v>500</v>
      </c>
      <c r="I2" s="57" t="s">
        <v>45</v>
      </c>
    </row>
    <row r="3" spans="7:9" ht="21" customHeight="1" thickBot="1">
      <c r="G3" s="54" t="s">
        <v>79</v>
      </c>
      <c r="H3" s="43">
        <v>100</v>
      </c>
      <c r="I3" s="58" t="s">
        <v>45</v>
      </c>
    </row>
    <row r="4" spans="7:9" ht="16.5" thickBot="1">
      <c r="G4" s="55" t="s">
        <v>68</v>
      </c>
      <c r="H4" s="43" t="s">
        <v>71</v>
      </c>
      <c r="I4" s="59" t="s">
        <v>45</v>
      </c>
    </row>
    <row r="5" spans="7:9" ht="16.5" thickBot="1">
      <c r="G5" s="55" t="s">
        <v>69</v>
      </c>
      <c r="H5" s="43" t="s">
        <v>70</v>
      </c>
      <c r="I5" s="59" t="s">
        <v>26</v>
      </c>
    </row>
    <row r="6" spans="7:9" ht="16.5" thickBot="1">
      <c r="G6" s="115" t="s">
        <v>77</v>
      </c>
      <c r="H6" s="68">
        <v>0.1</v>
      </c>
      <c r="I6" s="60" t="s">
        <v>78</v>
      </c>
    </row>
    <row r="7" spans="7:9" ht="12.75">
      <c r="G7" s="95"/>
      <c r="H7" s="95"/>
      <c r="I7" s="95"/>
    </row>
    <row r="8" spans="8:9" ht="13.5" thickBot="1">
      <c r="H8" s="120">
        <f>(H2*H6)/(IF(H4=H127,3.7,IF(H4=H128,7.4,IF(H4=H129,14))))</f>
        <v>6.756756756756756</v>
      </c>
      <c r="I8" s="120">
        <f>(H3*H6)/(IF(H5=H127,3.7,IF(H5=H128,7.4,IF(H5=H12,H13,14))))</f>
        <v>2.7027027027027026</v>
      </c>
    </row>
    <row r="9" spans="7:9" ht="18.75" thickBot="1">
      <c r="G9" s="116" t="s">
        <v>74</v>
      </c>
      <c r="H9" s="117">
        <f>CEILING(H8,1)</f>
        <v>7</v>
      </c>
      <c r="I9" s="117" t="s">
        <v>24</v>
      </c>
    </row>
    <row r="10" spans="7:9" ht="18.75" thickBot="1">
      <c r="G10" s="118" t="s">
        <v>73</v>
      </c>
      <c r="H10" s="117">
        <f>CEILING(I8,1)</f>
        <v>3</v>
      </c>
      <c r="I10" s="119" t="s">
        <v>24</v>
      </c>
    </row>
    <row r="11" spans="7:9" ht="18.75" thickBot="1">
      <c r="G11" s="116" t="s">
        <v>80</v>
      </c>
      <c r="H11" s="117">
        <f>H9*(IF(H4=H127,3.7,IF(H4=H128,7.4,IF(H4=H129,14))))</f>
        <v>51.800000000000004</v>
      </c>
      <c r="I11" s="117" t="s">
        <v>38</v>
      </c>
    </row>
    <row r="12" spans="7:9" ht="18.75" thickBot="1">
      <c r="G12" s="116" t="s">
        <v>81</v>
      </c>
      <c r="H12" s="117">
        <f>H10*(IF(H5=H127,3.7,IF(H5=H128,7.4,IF(H5=H129,14))))</f>
        <v>11.100000000000001</v>
      </c>
      <c r="I12" s="117" t="s">
        <v>38</v>
      </c>
    </row>
    <row r="13" spans="7:9" ht="18.75" thickBot="1">
      <c r="G13" s="116" t="s">
        <v>82</v>
      </c>
      <c r="H13" s="117">
        <f>H12+H11</f>
        <v>62.900000000000006</v>
      </c>
      <c r="I13" s="117" t="s">
        <v>38</v>
      </c>
    </row>
    <row r="14" spans="7:10" ht="18.75" thickBot="1">
      <c r="G14" s="116" t="s">
        <v>83</v>
      </c>
      <c r="H14" s="117">
        <f>CEILING(J14,1)</f>
        <v>2</v>
      </c>
      <c r="I14" s="117" t="s">
        <v>24</v>
      </c>
      <c r="J14" s="1">
        <f>H13/32</f>
        <v>1.9656250000000002</v>
      </c>
    </row>
    <row r="127" ht="12.75">
      <c r="H127" t="s">
        <v>70</v>
      </c>
    </row>
    <row r="128" ht="12.75">
      <c r="H128" t="s">
        <v>71</v>
      </c>
    </row>
    <row r="129" ht="12.75">
      <c r="H129" t="s">
        <v>72</v>
      </c>
    </row>
    <row r="133" spans="8:9" ht="12.75">
      <c r="H133" s="79">
        <v>0.06</v>
      </c>
      <c r="I133" s="75"/>
    </row>
    <row r="134" spans="8:9" ht="12.75">
      <c r="H134" s="79">
        <v>0.08</v>
      </c>
      <c r="I134" s="75"/>
    </row>
    <row r="135" spans="8:9" ht="12.75">
      <c r="H135" s="79">
        <v>0.09</v>
      </c>
      <c r="I135" s="75"/>
    </row>
    <row r="136" spans="8:9" ht="12.75">
      <c r="H136" s="79">
        <v>0.1</v>
      </c>
      <c r="I136" s="75"/>
    </row>
    <row r="137" spans="8:9" ht="12.75">
      <c r="H137" s="79">
        <v>0.14</v>
      </c>
      <c r="I137" s="75"/>
    </row>
    <row r="138" spans="8:9" ht="12.75">
      <c r="H138" s="80">
        <v>0.15</v>
      </c>
      <c r="I138" s="76"/>
    </row>
    <row r="139" spans="8:9" ht="12.75">
      <c r="H139" s="80">
        <v>0.2</v>
      </c>
      <c r="I139" s="76"/>
    </row>
    <row r="140" spans="8:9" ht="12.75">
      <c r="H140" s="81">
        <v>0.3</v>
      </c>
      <c r="I140" s="77"/>
    </row>
    <row r="141" spans="8:9" ht="12.75">
      <c r="H141" s="81">
        <v>1</v>
      </c>
      <c r="I141" s="77"/>
    </row>
    <row r="142" spans="8:9" ht="12.75">
      <c r="H142" s="81"/>
      <c r="I142" s="77"/>
    </row>
    <row r="143" ht="12.75">
      <c r="H143" s="69"/>
    </row>
    <row r="144" spans="8:9" ht="12.75">
      <c r="H144" s="82"/>
      <c r="I144" s="78"/>
    </row>
    <row r="145" spans="8:9" ht="12.75">
      <c r="H145" s="82"/>
      <c r="I145" s="78"/>
    </row>
    <row r="146" ht="12.75">
      <c r="H146" s="69"/>
    </row>
    <row r="147" ht="12.75">
      <c r="H147" s="69"/>
    </row>
  </sheetData>
  <sheetProtection password="CF66" sheet="1" objects="1" scenarios="1"/>
  <protectedRanges>
    <protectedRange sqref="H2:H6" name="Диапазон2"/>
    <protectedRange sqref="H2:H6" name="Диапазон1"/>
  </protectedRanges>
  <mergeCells count="1">
    <mergeCell ref="G1:I1"/>
  </mergeCells>
  <dataValidations count="2">
    <dataValidation type="list" allowBlank="1" showInputMessage="1" showErrorMessage="1" sqref="H6">
      <formula1>$H$133:$H$141</formula1>
    </dataValidation>
    <dataValidation type="list" allowBlank="1" showInputMessage="1" showErrorMessage="1" sqref="H4:H5">
      <formula1>$H$127:$H$129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D2:F115"/>
  <sheetViews>
    <sheetView showGridLines="0" zoomScale="85" zoomScaleNormal="85" workbookViewId="0" topLeftCell="A1">
      <selection activeCell="E4" sqref="E4"/>
    </sheetView>
  </sheetViews>
  <sheetFormatPr defaultColWidth="9.00390625" defaultRowHeight="12.75"/>
  <cols>
    <col min="4" max="4" width="90.125" style="0" customWidth="1"/>
    <col min="5" max="5" width="24.25390625" style="0" customWidth="1"/>
    <col min="6" max="6" width="13.125" style="0" customWidth="1"/>
  </cols>
  <sheetData>
    <row r="1" ht="13.5" thickBot="1"/>
    <row r="2" spans="4:6" ht="75" customHeight="1" thickBot="1">
      <c r="D2" s="83" t="s">
        <v>75</v>
      </c>
      <c r="E2" s="84"/>
      <c r="F2" s="85"/>
    </row>
    <row r="3" spans="4:6" ht="33" customHeight="1" thickBot="1">
      <c r="D3" s="53" t="s">
        <v>43</v>
      </c>
      <c r="E3" s="42">
        <v>12</v>
      </c>
      <c r="F3" s="57" t="s">
        <v>45</v>
      </c>
    </row>
    <row r="4" spans="4:6" ht="39.75" customHeight="1" thickBot="1">
      <c r="D4" s="54" t="s">
        <v>44</v>
      </c>
      <c r="E4" s="43">
        <v>2</v>
      </c>
      <c r="F4" s="58" t="s">
        <v>45</v>
      </c>
    </row>
    <row r="5" spans="4:6" ht="16.5" thickBot="1">
      <c r="D5" s="55" t="s">
        <v>28</v>
      </c>
      <c r="E5" s="43">
        <v>1550</v>
      </c>
      <c r="F5" s="59" t="s">
        <v>45</v>
      </c>
    </row>
    <row r="6" spans="4:6" ht="16.5" thickBot="1">
      <c r="D6" s="55" t="s">
        <v>46</v>
      </c>
      <c r="E6" s="43" t="s">
        <v>51</v>
      </c>
      <c r="F6" s="59" t="s">
        <v>26</v>
      </c>
    </row>
    <row r="7" spans="4:6" ht="16.5" thickBot="1">
      <c r="D7" s="56" t="s">
        <v>56</v>
      </c>
      <c r="E7" s="46" t="s">
        <v>54</v>
      </c>
      <c r="F7" s="60" t="s">
        <v>57</v>
      </c>
    </row>
    <row r="8" spans="4:6" ht="39.75" customHeight="1" thickBot="1">
      <c r="D8" s="47"/>
      <c r="E8" s="51"/>
      <c r="F8" s="52"/>
    </row>
    <row r="9" spans="4:6" ht="18.75" thickBot="1">
      <c r="D9" s="61" t="s">
        <v>59</v>
      </c>
      <c r="E9" s="65">
        <f>((90-(50+E3+E4))/IF(E6="1Б",0.2,IF(E6="1А",0.8,IF(E6="2Б",0.8,IF(E6="3Б",1.9,IF(E6="1А 1Б",1.9,IF(E6="1А 2Б",3.3)))))))*20</f>
        <v>273.6842105263158</v>
      </c>
      <c r="F9" s="66" t="s">
        <v>45</v>
      </c>
    </row>
    <row r="10" spans="4:6" ht="57.75" customHeight="1" thickBot="1">
      <c r="D10" s="62" t="s">
        <v>53</v>
      </c>
      <c r="E10" s="64">
        <f>(90-(E3+(IF(E7="из насоса в насос",10,IF(E7="из емкости в емкость",3.5)))))/IF(E6="1Б",0.2,IF(E6="1А",0.8,IF(E6="2Б",0.8,IF(E6="3Б",1.9,IF(E6="1А 1Б",1.9,IF(E6="1А 2Б",3.3))))))*20</f>
        <v>784.2105263157895</v>
      </c>
      <c r="F10" s="67" t="s">
        <v>45</v>
      </c>
    </row>
    <row r="11" spans="4:6" ht="18.75" thickBot="1">
      <c r="D11" s="70" t="s">
        <v>58</v>
      </c>
      <c r="E11" s="71">
        <f>(((1.2*E5)-E9)/E10)+1</f>
        <v>3.0228187919463085</v>
      </c>
      <c r="F11" s="72" t="s">
        <v>24</v>
      </c>
    </row>
    <row r="12" spans="4:6" ht="21" thickBot="1">
      <c r="D12" s="63" t="s">
        <v>58</v>
      </c>
      <c r="E12" s="74">
        <f>CEILING(E11,1)</f>
        <v>4</v>
      </c>
      <c r="F12" s="67" t="s">
        <v>24</v>
      </c>
    </row>
    <row r="13" spans="4:6" ht="15">
      <c r="D13" s="3"/>
      <c r="E13" s="39"/>
      <c r="F13" s="39"/>
    </row>
    <row r="14" spans="4:6" ht="15">
      <c r="D14" s="3"/>
      <c r="E14" s="39"/>
      <c r="F14" s="39"/>
    </row>
    <row r="15" spans="4:6" ht="15">
      <c r="D15" s="3"/>
      <c r="E15" s="39"/>
      <c r="F15" s="39"/>
    </row>
    <row r="16" spans="4:6" ht="15">
      <c r="D16" s="3"/>
      <c r="E16" s="73"/>
      <c r="F16" s="39"/>
    </row>
    <row r="17" spans="4:6" ht="15">
      <c r="D17" s="3"/>
      <c r="E17" s="39"/>
      <c r="F17" s="39"/>
    </row>
    <row r="18" spans="4:6" ht="15">
      <c r="D18" s="3"/>
      <c r="E18" s="39"/>
      <c r="F18" s="39"/>
    </row>
    <row r="19" spans="4:6" ht="15">
      <c r="D19" s="3"/>
      <c r="E19" s="39"/>
      <c r="F19" s="39"/>
    </row>
    <row r="20" spans="4:6" ht="15">
      <c r="D20" s="3"/>
      <c r="E20" s="39"/>
      <c r="F20" s="39"/>
    </row>
    <row r="21" spans="4:6" ht="15">
      <c r="D21" s="3"/>
      <c r="E21" s="39"/>
      <c r="F21" s="39"/>
    </row>
    <row r="22" spans="4:6" ht="15">
      <c r="D22" s="3"/>
      <c r="E22" s="39"/>
      <c r="F22" s="39"/>
    </row>
    <row r="103" ht="12.75">
      <c r="E103" t="s">
        <v>54</v>
      </c>
    </row>
    <row r="104" ht="12.75">
      <c r="E104" t="s">
        <v>55</v>
      </c>
    </row>
    <row r="110" ht="12.75">
      <c r="E110" t="s">
        <v>47</v>
      </c>
    </row>
    <row r="111" ht="12.75">
      <c r="E111" t="s">
        <v>48</v>
      </c>
    </row>
    <row r="112" ht="12.75">
      <c r="E112" t="s">
        <v>49</v>
      </c>
    </row>
    <row r="113" ht="12.75">
      <c r="E113" t="s">
        <v>50</v>
      </c>
    </row>
    <row r="114" ht="12.75">
      <c r="E114" t="s">
        <v>51</v>
      </c>
    </row>
    <row r="115" ht="12.75">
      <c r="E115" t="s">
        <v>52</v>
      </c>
    </row>
  </sheetData>
  <sheetProtection password="CF66" sheet="1" objects="1" scenarios="1"/>
  <protectedRanges>
    <protectedRange sqref="E3:E7" name="Диапазон1"/>
  </protectedRanges>
  <mergeCells count="1">
    <mergeCell ref="D2:F2"/>
  </mergeCells>
  <dataValidations count="2">
    <dataValidation type="list" allowBlank="1" showInputMessage="1" showErrorMessage="1" sqref="E6">
      <formula1>$E$110:$E$115</formula1>
    </dataValidation>
    <dataValidation type="list" allowBlank="1" showInputMessage="1" showErrorMessage="1" sqref="E7">
      <formula1>$E$103:$E$104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C1:F215"/>
  <sheetViews>
    <sheetView showGridLines="0" zoomScale="85" zoomScaleNormal="85" workbookViewId="0" topLeftCell="A1">
      <selection activeCell="D16" sqref="D16"/>
    </sheetView>
  </sheetViews>
  <sheetFormatPr defaultColWidth="9.00390625" defaultRowHeight="12.75"/>
  <cols>
    <col min="4" max="4" width="87.00390625" style="0" customWidth="1"/>
    <col min="5" max="5" width="20.375" style="0" customWidth="1"/>
    <col min="6" max="6" width="15.625" style="0" customWidth="1"/>
  </cols>
  <sheetData>
    <row r="1" spans="4:6" ht="64.5" customHeight="1" thickBot="1">
      <c r="D1" s="83" t="s">
        <v>32</v>
      </c>
      <c r="E1" s="84"/>
      <c r="F1" s="85"/>
    </row>
    <row r="2" spans="4:6" ht="27" customHeight="1" thickBot="1">
      <c r="D2" s="53" t="s">
        <v>35</v>
      </c>
      <c r="E2" s="42">
        <v>2500</v>
      </c>
      <c r="F2" s="57" t="s">
        <v>23</v>
      </c>
    </row>
    <row r="3" spans="4:6" ht="32.25" customHeight="1" thickBot="1">
      <c r="D3" s="54" t="s">
        <v>39</v>
      </c>
      <c r="E3" s="43">
        <v>5000</v>
      </c>
      <c r="F3" s="58" t="s">
        <v>23</v>
      </c>
    </row>
    <row r="4" spans="4:6" ht="33" customHeight="1" thickBot="1">
      <c r="D4" s="98" t="s">
        <v>84</v>
      </c>
      <c r="E4" s="44">
        <v>40</v>
      </c>
      <c r="F4" s="101" t="s">
        <v>38</v>
      </c>
    </row>
    <row r="5" spans="4:6" ht="30.75" customHeight="1" thickBot="1">
      <c r="D5" s="55" t="s">
        <v>28</v>
      </c>
      <c r="E5" s="43">
        <v>4</v>
      </c>
      <c r="F5" s="59" t="s">
        <v>29</v>
      </c>
    </row>
    <row r="6" spans="4:6" ht="25.5" customHeight="1" thickBot="1">
      <c r="D6" s="55" t="s">
        <v>31</v>
      </c>
      <c r="E6" s="43">
        <v>2</v>
      </c>
      <c r="F6" s="59" t="s">
        <v>24</v>
      </c>
    </row>
    <row r="7" spans="4:6" ht="28.5" customHeight="1" thickBot="1">
      <c r="D7" s="99" t="s">
        <v>30</v>
      </c>
      <c r="E7" s="45">
        <v>4</v>
      </c>
      <c r="F7" s="102" t="s">
        <v>24</v>
      </c>
    </row>
    <row r="8" spans="4:6" ht="36" customHeight="1" thickBot="1">
      <c r="D8" s="100" t="s">
        <v>41</v>
      </c>
      <c r="E8" s="46">
        <v>55</v>
      </c>
      <c r="F8" s="59" t="s">
        <v>42</v>
      </c>
    </row>
    <row r="9" spans="3:6" ht="36" customHeight="1" thickBot="1">
      <c r="C9" s="52"/>
      <c r="D9" s="97"/>
      <c r="E9" s="40"/>
      <c r="F9" s="41"/>
    </row>
    <row r="10" spans="4:6" ht="25.5" customHeight="1" thickBot="1">
      <c r="D10" s="61" t="s">
        <v>33</v>
      </c>
      <c r="E10" s="103">
        <f>E2/(E4*60)</f>
        <v>1.0416666666666667</v>
      </c>
      <c r="F10" s="67" t="s">
        <v>37</v>
      </c>
    </row>
    <row r="11" spans="4:6" ht="26.25" customHeight="1" thickBot="1">
      <c r="D11" s="61" t="s">
        <v>34</v>
      </c>
      <c r="E11" s="104">
        <f>(E5/E8)*60</f>
        <v>4.363636363636363</v>
      </c>
      <c r="F11" s="67" t="s">
        <v>37</v>
      </c>
    </row>
    <row r="12" spans="4:6" ht="24.75" customHeight="1" thickBot="1">
      <c r="D12" s="63" t="s">
        <v>40</v>
      </c>
      <c r="E12" s="105">
        <f>(E3/(SUM(E6*7)+(E7*3.5)))/60</f>
        <v>2.9761904761904763</v>
      </c>
      <c r="F12" s="106" t="s">
        <v>37</v>
      </c>
    </row>
    <row r="13" spans="4:6" ht="29.25" customHeight="1" thickBot="1">
      <c r="D13" s="107" t="s">
        <v>36</v>
      </c>
      <c r="E13" s="108">
        <f>((SUM(2*E11)+E10)/E12)+1</f>
        <v>4.282363636363636</v>
      </c>
      <c r="F13" s="109" t="s">
        <v>24</v>
      </c>
    </row>
    <row r="14" spans="4:6" ht="19.5" thickBot="1">
      <c r="D14" s="110" t="s">
        <v>36</v>
      </c>
      <c r="E14" s="111">
        <f>CEILING(E13,1)</f>
        <v>5</v>
      </c>
      <c r="F14" s="112" t="s">
        <v>24</v>
      </c>
    </row>
    <row r="15" spans="4:6" ht="15">
      <c r="D15" s="3"/>
      <c r="E15" s="39"/>
      <c r="F15" s="39"/>
    </row>
    <row r="16" spans="4:6" ht="15">
      <c r="D16" s="3"/>
      <c r="E16" s="39"/>
      <c r="F16" s="39"/>
    </row>
    <row r="17" spans="4:6" ht="15">
      <c r="D17" s="3"/>
      <c r="E17" s="39"/>
      <c r="F17" s="39"/>
    </row>
    <row r="18" spans="4:6" ht="15">
      <c r="D18" s="3"/>
      <c r="E18" s="39"/>
      <c r="F18" s="39"/>
    </row>
    <row r="19" spans="4:6" ht="15">
      <c r="D19" s="3"/>
      <c r="E19" s="39"/>
      <c r="F19" s="39"/>
    </row>
    <row r="20" spans="4:6" ht="15">
      <c r="D20" s="3"/>
      <c r="E20" s="39"/>
      <c r="F20" s="39"/>
    </row>
    <row r="21" spans="4:6" ht="15">
      <c r="D21" s="3"/>
      <c r="E21" s="39"/>
      <c r="F21" s="39"/>
    </row>
    <row r="22" spans="4:6" ht="15">
      <c r="D22" s="3"/>
      <c r="E22" s="39"/>
      <c r="F22" s="39"/>
    </row>
    <row r="23" spans="4:6" ht="15">
      <c r="D23" s="3"/>
      <c r="E23" s="39"/>
      <c r="F23" s="39"/>
    </row>
    <row r="24" spans="4:6" ht="15">
      <c r="D24" s="3"/>
      <c r="E24" s="39"/>
      <c r="F24" s="39"/>
    </row>
    <row r="25" spans="4:6" ht="15">
      <c r="D25" s="3"/>
      <c r="E25" s="39"/>
      <c r="F25" s="39"/>
    </row>
    <row r="26" spans="4:6" ht="15">
      <c r="D26" s="3"/>
      <c r="E26" s="39"/>
      <c r="F26" s="39"/>
    </row>
    <row r="27" spans="4:6" ht="15">
      <c r="D27" s="3"/>
      <c r="E27" s="3"/>
      <c r="F27" s="3"/>
    </row>
    <row r="205" ht="12.75">
      <c r="E205">
        <v>15</v>
      </c>
    </row>
    <row r="206" ht="12.75">
      <c r="E206">
        <v>20</v>
      </c>
    </row>
    <row r="207" ht="12.75">
      <c r="E207">
        <v>25</v>
      </c>
    </row>
    <row r="208" ht="12.75">
      <c r="E208">
        <v>30</v>
      </c>
    </row>
    <row r="209" ht="12.75">
      <c r="E209">
        <v>35</v>
      </c>
    </row>
    <row r="210" ht="12.75">
      <c r="E210">
        <v>40</v>
      </c>
    </row>
    <row r="211" ht="12.75">
      <c r="E211">
        <v>45</v>
      </c>
    </row>
    <row r="212" ht="12.75">
      <c r="E212">
        <v>50</v>
      </c>
    </row>
    <row r="213" ht="12.75">
      <c r="E213">
        <v>55</v>
      </c>
    </row>
    <row r="214" ht="12.75">
      <c r="E214">
        <v>60</v>
      </c>
    </row>
    <row r="215" ht="12.75">
      <c r="E215">
        <v>65</v>
      </c>
    </row>
  </sheetData>
  <sheetProtection password="CF66" sheet="1" objects="1" scenarios="1"/>
  <protectedRanges>
    <protectedRange sqref="E2:E8" name="Диапазон1"/>
  </protectedRanges>
  <mergeCells count="1">
    <mergeCell ref="D1:F1"/>
  </mergeCells>
  <dataValidations count="1">
    <dataValidation type="list" allowBlank="1" showInputMessage="1" showErrorMessage="1" sqref="E8">
      <formula1>$E$205:$E$215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C1:E7"/>
  <sheetViews>
    <sheetView showGridLines="0" workbookViewId="0" topLeftCell="A1">
      <selection activeCell="E7" sqref="E7"/>
    </sheetView>
  </sheetViews>
  <sheetFormatPr defaultColWidth="9.00390625" defaultRowHeight="12.75"/>
  <cols>
    <col min="3" max="3" width="79.25390625" style="0" customWidth="1"/>
    <col min="4" max="4" width="14.00390625" style="0" customWidth="1"/>
  </cols>
  <sheetData>
    <row r="1" spans="3:5" ht="15">
      <c r="C1" s="89" t="s">
        <v>66</v>
      </c>
      <c r="D1" s="48">
        <v>50000</v>
      </c>
      <c r="E1" s="94" t="s">
        <v>63</v>
      </c>
    </row>
    <row r="2" spans="3:5" ht="15">
      <c r="C2" s="90" t="s">
        <v>65</v>
      </c>
      <c r="D2" s="49">
        <v>4</v>
      </c>
      <c r="E2" s="94" t="s">
        <v>24</v>
      </c>
    </row>
    <row r="3" spans="3:5" ht="15">
      <c r="C3" s="90" t="s">
        <v>64</v>
      </c>
      <c r="D3" s="49">
        <v>2</v>
      </c>
      <c r="E3" s="94" t="s">
        <v>24</v>
      </c>
    </row>
    <row r="4" spans="3:5" ht="15">
      <c r="C4" s="90" t="s">
        <v>62</v>
      </c>
      <c r="D4" s="49">
        <v>2</v>
      </c>
      <c r="E4" s="94" t="s">
        <v>24</v>
      </c>
    </row>
    <row r="5" spans="3:5" ht="15.75" thickBot="1">
      <c r="C5" s="91" t="s">
        <v>61</v>
      </c>
      <c r="D5" s="50">
        <v>3</v>
      </c>
      <c r="E5" s="94" t="s">
        <v>24</v>
      </c>
    </row>
    <row r="6" spans="3:5" ht="15.75" thickBot="1">
      <c r="C6" s="95"/>
      <c r="D6" s="95"/>
      <c r="E6" s="94"/>
    </row>
    <row r="7" spans="3:5" ht="52.5" customHeight="1" thickBot="1">
      <c r="C7" s="92" t="s">
        <v>60</v>
      </c>
      <c r="D7" s="93">
        <f>(0.9*D1-(SUM(D2*90)+(D3*40)))/((SUM(D4*7.4)+(D5*3.7))*60)</f>
        <v>28.67438867438867</v>
      </c>
      <c r="E7" s="96" t="s">
        <v>37</v>
      </c>
    </row>
  </sheetData>
  <sheetProtection password="CF66" sheet="1" objects="1" scenarios="1"/>
  <protectedRanges>
    <protectedRange sqref="D1:D5" name="Диапазон1"/>
  </protectedRange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showZeros="0" showOutlineSymbols="0" workbookViewId="0" topLeftCell="E1">
      <selection activeCell="K6" sqref="K6"/>
    </sheetView>
  </sheetViews>
  <sheetFormatPr defaultColWidth="9.00390625" defaultRowHeight="12.75"/>
  <cols>
    <col min="1" max="1" width="42.375" style="0" customWidth="1"/>
    <col min="2" max="2" width="18.00390625" style="0" customWidth="1"/>
    <col min="6" max="6" width="9.25390625" style="0" bestFit="1" customWidth="1"/>
    <col min="7" max="7" width="9.875" style="0" bestFit="1" customWidth="1"/>
  </cols>
  <sheetData>
    <row r="1" spans="1:17" ht="45" customHeight="1">
      <c r="A1" s="86" t="s">
        <v>25</v>
      </c>
      <c r="B1" s="87"/>
      <c r="C1" s="88"/>
      <c r="D1" s="1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>
      <c r="A2" s="2" t="s">
        <v>0</v>
      </c>
      <c r="B2" s="14">
        <v>4000</v>
      </c>
      <c r="C2" s="16" t="s">
        <v>23</v>
      </c>
      <c r="D2" s="10"/>
      <c r="E2" s="4"/>
      <c r="F2" s="4" t="s">
        <v>17</v>
      </c>
      <c r="G2" s="4">
        <f>B2/B3</f>
        <v>22.22222222222222</v>
      </c>
      <c r="H2" s="4"/>
      <c r="I2" s="4" t="s">
        <v>3</v>
      </c>
      <c r="J2" s="4"/>
      <c r="K2" s="4"/>
      <c r="L2" s="4"/>
      <c r="M2" s="4"/>
      <c r="N2" s="4"/>
      <c r="O2" s="4"/>
      <c r="P2" s="4"/>
      <c r="Q2" s="4"/>
    </row>
    <row r="3" spans="1:17" s="3" customFormat="1" ht="15">
      <c r="A3" s="5" t="s">
        <v>1</v>
      </c>
      <c r="B3" s="14">
        <v>180</v>
      </c>
      <c r="C3" s="16" t="s">
        <v>23</v>
      </c>
      <c r="D3" s="10"/>
      <c r="E3" s="4"/>
      <c r="F3" s="114">
        <f>IF(15.7&lt;G2,B3*15.7+B3,IF(15.7&gt;G2,B2/15.7+B2))</f>
        <v>3006</v>
      </c>
      <c r="G3" s="4"/>
      <c r="H3" s="4"/>
      <c r="I3" s="4" t="s">
        <v>2</v>
      </c>
      <c r="J3" s="4"/>
      <c r="K3" s="4"/>
      <c r="L3" s="4"/>
      <c r="M3" s="4"/>
      <c r="N3" s="4"/>
      <c r="O3" s="4"/>
      <c r="P3" s="4"/>
      <c r="Q3" s="4"/>
    </row>
    <row r="4" spans="1:17" s="3" customFormat="1" ht="15.75">
      <c r="A4" s="36" t="s">
        <v>4</v>
      </c>
      <c r="B4" s="37">
        <f>F3</f>
        <v>3006</v>
      </c>
      <c r="C4" s="38" t="s">
        <v>23</v>
      </c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3" customFormat="1" ht="15">
      <c r="A5" s="6" t="s">
        <v>5</v>
      </c>
      <c r="B5" s="7">
        <v>15</v>
      </c>
      <c r="C5" s="17" t="s">
        <v>24</v>
      </c>
      <c r="D5" s="12"/>
      <c r="E5" s="4">
        <f>SUM((B5*L5)+(B6*L6))</f>
        <v>1510</v>
      </c>
      <c r="F5" s="4"/>
      <c r="G5" s="4"/>
      <c r="H5" s="4"/>
      <c r="I5" s="4">
        <v>1</v>
      </c>
      <c r="J5" s="4">
        <v>1</v>
      </c>
      <c r="K5" s="4">
        <v>1</v>
      </c>
      <c r="L5" s="4">
        <v>90</v>
      </c>
      <c r="M5" s="4" t="s">
        <v>6</v>
      </c>
      <c r="N5" s="4"/>
      <c r="O5" s="4"/>
      <c r="P5" s="4"/>
      <c r="Q5" s="4"/>
    </row>
    <row r="6" spans="1:17" s="3" customFormat="1" ht="15">
      <c r="A6" s="6" t="s">
        <v>7</v>
      </c>
      <c r="B6" s="7">
        <v>4</v>
      </c>
      <c r="C6" s="17" t="s">
        <v>24</v>
      </c>
      <c r="D6" s="12"/>
      <c r="E6" s="4"/>
      <c r="F6" s="4"/>
      <c r="G6" s="4"/>
      <c r="H6" s="4"/>
      <c r="I6" s="4"/>
      <c r="J6" s="4"/>
      <c r="K6" s="4"/>
      <c r="L6" s="4">
        <v>40</v>
      </c>
      <c r="M6" s="4" t="s">
        <v>8</v>
      </c>
      <c r="N6" s="4"/>
      <c r="O6" s="4"/>
      <c r="P6" s="4"/>
      <c r="Q6" s="4"/>
    </row>
    <row r="7" spans="1:17" s="3" customFormat="1" ht="15">
      <c r="A7" s="6" t="s">
        <v>9</v>
      </c>
      <c r="B7" s="8" t="s">
        <v>6</v>
      </c>
      <c r="C7" s="17" t="s">
        <v>26</v>
      </c>
      <c r="D7" s="12"/>
      <c r="E7" s="4" t="str">
        <f>IF(B7="СВП-4","8",IF(B7="ГПС-600","6",""))</f>
        <v>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3" customFormat="1" ht="15.75" thickBot="1">
      <c r="A8" s="19" t="s">
        <v>10</v>
      </c>
      <c r="B8" s="20">
        <v>1</v>
      </c>
      <c r="C8" s="21" t="s">
        <v>24</v>
      </c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ht="16.5" thickBot="1">
      <c r="A9" s="22" t="s">
        <v>11</v>
      </c>
      <c r="B9" s="23">
        <f>(B4-E5)/(B8*E7*60)</f>
        <v>4.155555555555556</v>
      </c>
      <c r="C9" s="24" t="s">
        <v>12</v>
      </c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3" customFormat="1" ht="15.75" thickBot="1">
      <c r="A10" s="25" t="s">
        <v>13</v>
      </c>
      <c r="B10" s="26" t="s">
        <v>14</v>
      </c>
      <c r="C10" s="34" t="s">
        <v>26</v>
      </c>
      <c r="D10" s="12"/>
      <c r="E10" s="4"/>
      <c r="F10" s="4" t="s">
        <v>14</v>
      </c>
      <c r="G10" s="4">
        <v>10</v>
      </c>
      <c r="H10" s="4">
        <v>2.5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s="3" customFormat="1" ht="15.75">
      <c r="A11" s="27" t="s">
        <v>15</v>
      </c>
      <c r="B11" s="28">
        <f>B4/((IF(B10="ЛВЖ",0.05,IF(B10="ГЖ",0.08)))*(B9*60))</f>
        <v>241.1229946524064</v>
      </c>
      <c r="C11" s="29" t="s">
        <v>21</v>
      </c>
      <c r="D11" s="4"/>
      <c r="E11" s="4"/>
      <c r="F11" s="4" t="s">
        <v>16</v>
      </c>
      <c r="G11" s="4">
        <v>100</v>
      </c>
      <c r="H11" s="4">
        <v>2.6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ht="16.5" thickBot="1">
      <c r="A12" s="30" t="s">
        <v>18</v>
      </c>
      <c r="B12" s="18">
        <f>IF(B7="ГПС-600",36,IF(B7="СВП-4",4))*B9</f>
        <v>149.60000000000002</v>
      </c>
      <c r="C12" s="15" t="s">
        <v>22</v>
      </c>
      <c r="D12" s="4"/>
      <c r="E12" s="4"/>
      <c r="F12" s="4"/>
      <c r="G12" s="4"/>
      <c r="H12" s="4">
        <v>2.7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ht="15.75" thickBot="1">
      <c r="A13" s="25" t="s">
        <v>19</v>
      </c>
      <c r="B13" s="26">
        <v>3</v>
      </c>
      <c r="C13" s="35" t="s">
        <v>27</v>
      </c>
      <c r="D13" s="4"/>
      <c r="E13" s="4"/>
      <c r="F13" s="4"/>
      <c r="G13" s="4"/>
      <c r="H13" s="4">
        <v>2.8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ht="16.5" thickBot="1">
      <c r="A14" s="31" t="s">
        <v>20</v>
      </c>
      <c r="B14" s="32">
        <f>B12/B13</f>
        <v>49.866666666666674</v>
      </c>
      <c r="C14" s="33" t="s">
        <v>22</v>
      </c>
      <c r="D14" s="4"/>
      <c r="E14" s="4"/>
      <c r="F14" s="4"/>
      <c r="G14" s="4"/>
      <c r="H14" s="4">
        <v>2.9</v>
      </c>
      <c r="I14" s="4"/>
      <c r="J14" s="4"/>
      <c r="K14" s="4"/>
      <c r="L14" s="4"/>
      <c r="M14" s="4"/>
      <c r="N14" s="4"/>
      <c r="O14" s="4"/>
      <c r="P14" s="4"/>
      <c r="Q14" s="4"/>
    </row>
    <row r="15" spans="4:17" s="3" customFormat="1" ht="15">
      <c r="D15" s="4"/>
      <c r="E15" s="4"/>
      <c r="F15" s="4"/>
      <c r="G15" s="4"/>
      <c r="H15" s="4">
        <v>3</v>
      </c>
      <c r="I15" s="4"/>
      <c r="J15" s="4"/>
      <c r="K15" s="4"/>
      <c r="L15" s="4"/>
      <c r="M15" s="4"/>
      <c r="N15" s="4"/>
      <c r="O15" s="4"/>
      <c r="P15" s="4"/>
      <c r="Q15" s="4"/>
    </row>
    <row r="16" spans="4:17" s="3" customFormat="1" ht="15">
      <c r="D16" s="4"/>
      <c r="E16" s="4"/>
      <c r="F16" s="4"/>
      <c r="G16" s="4"/>
      <c r="H16" s="4">
        <v>3.1</v>
      </c>
      <c r="I16" s="4"/>
      <c r="J16" s="4"/>
      <c r="K16" s="4"/>
      <c r="L16" s="4"/>
      <c r="M16" s="4"/>
      <c r="N16" s="4"/>
      <c r="O16" s="4"/>
      <c r="P16" s="4"/>
      <c r="Q16" s="4"/>
    </row>
    <row r="17" spans="4:17" s="3" customFormat="1" ht="15">
      <c r="D17" s="4"/>
      <c r="E17" s="4"/>
      <c r="F17" s="4"/>
      <c r="G17" s="4"/>
      <c r="H17" s="4">
        <v>3.2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s="3" customFormat="1" ht="15">
      <c r="A18"/>
      <c r="B18"/>
      <c r="D18" s="4"/>
      <c r="E18" s="4"/>
      <c r="F18" s="4"/>
      <c r="G18" s="4"/>
      <c r="H18" s="4">
        <v>3.3</v>
      </c>
      <c r="I18" s="4"/>
      <c r="J18" s="4"/>
      <c r="K18" s="4"/>
      <c r="L18" s="4"/>
      <c r="M18" s="4"/>
      <c r="N18" s="4"/>
      <c r="O18" s="4"/>
      <c r="P18" s="4"/>
      <c r="Q18" s="4"/>
    </row>
    <row r="19" spans="4:18" ht="15">
      <c r="D19" s="1"/>
      <c r="E19" s="1"/>
      <c r="F19" s="1"/>
      <c r="G19" s="1"/>
      <c r="H19" s="4">
        <v>3.4</v>
      </c>
      <c r="I19" s="1"/>
      <c r="J19" s="1"/>
      <c r="K19" s="1"/>
      <c r="L19" s="1"/>
      <c r="M19" s="1"/>
      <c r="N19" s="1"/>
      <c r="O19" s="1"/>
      <c r="P19" s="1"/>
      <c r="Q19" s="1"/>
      <c r="R19" s="9"/>
    </row>
    <row r="20" spans="4:18" ht="15">
      <c r="D20" s="1"/>
      <c r="E20" s="1"/>
      <c r="F20" s="1"/>
      <c r="G20" s="1"/>
      <c r="H20" s="4">
        <v>3.5</v>
      </c>
      <c r="I20" s="1"/>
      <c r="J20" s="1"/>
      <c r="K20" s="1"/>
      <c r="L20" s="1"/>
      <c r="M20" s="1"/>
      <c r="N20" s="1"/>
      <c r="O20" s="1"/>
      <c r="P20" s="1"/>
      <c r="Q20" s="1"/>
      <c r="R20" s="9"/>
    </row>
    <row r="21" spans="4:18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9"/>
    </row>
    <row r="22" spans="4:18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"/>
    </row>
    <row r="23" spans="4:18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9"/>
    </row>
    <row r="24" spans="4:18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9"/>
    </row>
    <row r="25" spans="4:18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9"/>
    </row>
    <row r="26" spans="4:18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"/>
    </row>
    <row r="27" spans="4:18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"/>
    </row>
    <row r="28" spans="4:18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</row>
    <row r="29" spans="4:18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"/>
    </row>
    <row r="30" spans="4:18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</row>
    <row r="31" spans="4:18" ht="12.75">
      <c r="D31" s="1"/>
      <c r="E31" s="1"/>
      <c r="F31" s="1"/>
      <c r="G31" s="1"/>
      <c r="H31" s="1"/>
      <c r="I31" s="1"/>
      <c r="J31" s="1">
        <v>27</v>
      </c>
      <c r="K31" s="1"/>
      <c r="L31" s="1"/>
      <c r="M31" s="1"/>
      <c r="N31" s="1"/>
      <c r="O31" s="1"/>
      <c r="P31" s="1"/>
      <c r="Q31" s="1"/>
      <c r="R31" s="9"/>
    </row>
    <row r="32" spans="4:18" ht="12.75">
      <c r="D32" s="1"/>
      <c r="E32" s="9"/>
      <c r="F32" s="9"/>
      <c r="G32" s="9"/>
      <c r="H32" s="9"/>
      <c r="I32" s="9"/>
      <c r="J32" s="9">
        <v>28</v>
      </c>
      <c r="K32" s="9"/>
      <c r="L32" s="9"/>
      <c r="M32" s="9"/>
      <c r="N32" s="9"/>
      <c r="O32" s="9"/>
      <c r="P32" s="9"/>
      <c r="Q32" s="9"/>
      <c r="R32" s="9"/>
    </row>
    <row r="33" spans="4:18" ht="12.75">
      <c r="D33" s="1"/>
      <c r="E33" s="9"/>
      <c r="F33" s="9"/>
      <c r="G33" s="9"/>
      <c r="H33" s="9"/>
      <c r="I33" s="9"/>
      <c r="J33" s="9">
        <v>29</v>
      </c>
      <c r="K33" s="9"/>
      <c r="L33" s="9"/>
      <c r="M33" s="9"/>
      <c r="N33" s="9"/>
      <c r="O33" s="9"/>
      <c r="P33" s="9"/>
      <c r="Q33" s="9"/>
      <c r="R33" s="9"/>
    </row>
    <row r="34" spans="4:18" ht="12.75">
      <c r="D34" s="1"/>
      <c r="E34" s="9"/>
      <c r="F34" s="9"/>
      <c r="G34" s="9"/>
      <c r="H34" s="9"/>
      <c r="I34" s="9"/>
      <c r="J34" s="9">
        <v>30</v>
      </c>
      <c r="K34" s="9"/>
      <c r="L34" s="9"/>
      <c r="M34" s="9"/>
      <c r="N34" s="9"/>
      <c r="O34" s="9"/>
      <c r="P34" s="9"/>
      <c r="Q34" s="9"/>
      <c r="R34" s="9"/>
    </row>
    <row r="35" spans="4:18" ht="12.75"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5:18" ht="12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5:18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5:18" ht="12.7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5:18" ht="12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5:18" ht="12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5:18" ht="12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5:18" ht="12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5:18" ht="12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5:18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5:18" ht="12.7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5:18" ht="12.7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5:18" ht="12.7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5:18" ht="12.7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5:18" ht="12.75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sheetProtection/>
  <mergeCells count="1">
    <mergeCell ref="A1:C1"/>
  </mergeCells>
  <dataValidations count="6">
    <dataValidation type="list" allowBlank="1" showInputMessage="1" showErrorMessage="1" promptTitle="Тип" prompt="Выберите ти горящей жидкости" sqref="B10">
      <formula1>$F$10:$F$11</formula1>
    </dataValidation>
    <dataValidation allowBlank="1" showInputMessage="1" showErrorMessage="1" promptTitle="Рабочая линия" prompt="Введите количествос рукавов в рабочей линии" sqref="B6"/>
    <dataValidation allowBlank="1" showInputMessage="1" showErrorMessage="1" promptTitle="Количество" prompt="Введите количество пенных стволов" sqref="B8"/>
    <dataValidation type="list" allowBlank="1" showInputMessage="1" showErrorMessage="1" promptTitle="Пенные стволы" prompt="Выберите тип пенных стволов" sqref="B7">
      <formula1>$M$5:$M$6</formula1>
    </dataValidation>
    <dataValidation allowBlank="1" showInputMessage="1" showErrorMessage="1" promptTitle="Магистральная линия" prompt="Выберите количество рукавов в магистральной линии" sqref="B5"/>
    <dataValidation type="list" allowBlank="1" showInputMessage="1" showErrorMessage="1" promptTitle="Учитывает разрушение и потерю ПО" prompt="Показывает во сколько раз больше необходимо взять пены средней кратности по отношению к объему тушения" sqref="B13">
      <formula1>$H$10:$H$20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ПЧ-9 ГПС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Общие подсчёты расхода</dc:title>
  <dc:subject/>
  <dc:creator>Ан.Ю.Ползунов</dc:creator>
  <cp:keywords/>
  <dc:description>взято с сайта www.pch9.narod.ru</dc:description>
  <cp:lastModifiedBy>Юрий Геннадьевич</cp:lastModifiedBy>
  <cp:lastPrinted>2008-10-30T10:53:12Z</cp:lastPrinted>
  <dcterms:created xsi:type="dcterms:W3CDTF">2006-12-15T19:05:59Z</dcterms:created>
  <dcterms:modified xsi:type="dcterms:W3CDTF">2008-10-31T08:53:29Z</dcterms:modified>
  <cp:category>1 караул</cp:category>
  <cp:version/>
  <cp:contentType/>
  <cp:contentStatus/>
</cp:coreProperties>
</file>